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anasaadawi/Downloads/"/>
    </mc:Choice>
  </mc:AlternateContent>
  <xr:revisionPtr revIDLastSave="0" documentId="13_ncr:1_{40729E15-7625-E343-BD12-7117D4CB4D53}" xr6:coauthVersionLast="47" xr6:coauthVersionMax="47" xr10:uidLastSave="{00000000-0000-0000-0000-000000000000}"/>
  <bookViews>
    <workbookView xWindow="0" yWindow="500" windowWidth="28800" windowHeight="17500" xr2:uid="{4F159325-3BC3-2640-9351-CB72A3BF2FFC}"/>
  </bookViews>
  <sheets>
    <sheet name="Mobile-Kiosks (2)" sheetId="1" r:id="rId1"/>
  </sheets>
  <definedNames>
    <definedName name="_xlnm.Print_Area" localSheetId="0">'Mobile-Kiosks (2)'!$A$1:$V$52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Q8" i="1"/>
  <c r="G7" i="1" s="1"/>
  <c r="Q6" i="1"/>
  <c r="G5" i="1" s="1"/>
  <c r="Q7" i="1"/>
  <c r="G6" i="1" s="1"/>
  <c r="Q9" i="1"/>
  <c r="H7" i="1" s="1"/>
  <c r="Q10" i="1"/>
  <c r="I7" i="1" s="1"/>
  <c r="Q11" i="1"/>
  <c r="G9" i="1" s="1"/>
  <c r="Q12" i="1"/>
  <c r="C35" i="1" s="1"/>
  <c r="C38" i="1" s="1"/>
  <c r="G13" i="1"/>
  <c r="H13" i="1"/>
  <c r="I13" i="1"/>
  <c r="Q13" i="1"/>
  <c r="Q14" i="1"/>
  <c r="Q15" i="1"/>
  <c r="G16" i="1"/>
  <c r="H16" i="1"/>
  <c r="I16" i="1"/>
  <c r="Q16" i="1"/>
  <c r="Q18" i="1"/>
  <c r="Q19" i="1"/>
  <c r="C43" i="1" s="1"/>
  <c r="J23" i="1"/>
  <c r="Q20" i="1"/>
  <c r="C44" i="1" s="1"/>
  <c r="Q21" i="1"/>
  <c r="P22" i="1"/>
  <c r="F24" i="1" s="1"/>
  <c r="E23" i="1"/>
  <c r="I23" i="1" s="1"/>
  <c r="F23" i="1"/>
  <c r="G23" i="1"/>
  <c r="H23" i="1"/>
  <c r="E24" i="1"/>
  <c r="I24" i="1"/>
  <c r="C36" i="1"/>
  <c r="C37" i="1"/>
  <c r="E37" i="1"/>
  <c r="C42" i="1"/>
  <c r="C45" i="1"/>
  <c r="H6" i="1" l="1"/>
  <c r="I6" i="1"/>
  <c r="C39" i="1"/>
  <c r="H8" i="1" s="1"/>
  <c r="J24" i="1"/>
  <c r="H24" i="1"/>
  <c r="C46" i="1"/>
  <c r="H26" i="1" s="1"/>
  <c r="G24" i="1"/>
  <c r="H5" i="1"/>
  <c r="J26" i="1"/>
  <c r="F26" i="1"/>
  <c r="G26" i="1"/>
  <c r="H9" i="1"/>
  <c r="I9" i="1"/>
  <c r="G8" i="1" l="1"/>
  <c r="I26" i="1"/>
  <c r="I8" i="1"/>
  <c r="I5" i="1"/>
  <c r="H10" i="1"/>
  <c r="H14" i="1" s="1"/>
  <c r="F21" i="1" s="1"/>
  <c r="I10" i="1" l="1"/>
  <c r="I14" i="1" s="1"/>
  <c r="G10" i="1"/>
  <c r="G14" i="1" s="1"/>
  <c r="I15" i="1"/>
  <c r="I18" i="1" s="1"/>
  <c r="N28" i="1"/>
  <c r="F22" i="1"/>
  <c r="F25" i="1" s="1"/>
  <c r="F27" i="1" s="1"/>
  <c r="N27" i="1"/>
  <c r="G21" i="1"/>
  <c r="G22" i="1" s="1"/>
  <c r="G25" i="1" s="1"/>
  <c r="G27" i="1" s="1"/>
  <c r="H15" i="1"/>
  <c r="H18" i="1" s="1"/>
  <c r="H21" i="1"/>
  <c r="H22" i="1" s="1"/>
  <c r="H25" i="1" s="1"/>
  <c r="H27" i="1" s="1"/>
  <c r="I21" i="1"/>
  <c r="I22" i="1" s="1"/>
  <c r="I25" i="1" s="1"/>
  <c r="I27" i="1" s="1"/>
  <c r="J21" i="1"/>
  <c r="J22" i="1" s="1"/>
  <c r="J25" i="1" s="1"/>
  <c r="J27" i="1" s="1"/>
  <c r="G15" i="1" l="1"/>
  <c r="G18" i="1" s="1"/>
  <c r="N26" i="1"/>
  <c r="H30" i="1"/>
  <c r="H28" i="1"/>
  <c r="G30" i="1"/>
  <c r="G28" i="1"/>
  <c r="I30" i="1"/>
  <c r="I28" i="1"/>
  <c r="F28" i="1"/>
  <c r="F30" i="1"/>
  <c r="J30" i="1"/>
  <c r="J28" i="1"/>
  <c r="F32" i="1" l="1"/>
  <c r="F31" i="1"/>
  <c r="I32" i="1"/>
  <c r="I31" i="1"/>
  <c r="G32" i="1"/>
  <c r="G31" i="1"/>
  <c r="J31" i="1"/>
  <c r="J32" i="1"/>
  <c r="F50" i="1"/>
  <c r="H32" i="1"/>
  <c r="H31" i="1"/>
  <c r="F52" i="1" l="1"/>
  <c r="G50" i="1"/>
  <c r="H50" i="1"/>
  <c r="I50" i="1"/>
  <c r="F51" i="1"/>
  <c r="I51" i="1" l="1"/>
  <c r="I52" i="1"/>
  <c r="H52" i="1"/>
  <c r="H51" i="1"/>
  <c r="G52" i="1"/>
  <c r="G51" i="1"/>
</calcChain>
</file>

<file path=xl/sharedStrings.xml><?xml version="1.0" encoding="utf-8"?>
<sst xmlns="http://schemas.openxmlformats.org/spreadsheetml/2006/main" count="116" uniqueCount="99">
  <si>
    <t xml:space="preserve">3 Kiosks </t>
  </si>
  <si>
    <t>2 Kiosks</t>
  </si>
  <si>
    <t>1 Kiosk</t>
  </si>
  <si>
    <t>20 Events</t>
  </si>
  <si>
    <t>15 Events</t>
  </si>
  <si>
    <t>10 Events</t>
  </si>
  <si>
    <t>5 Events</t>
  </si>
  <si>
    <t>Multiple Unit Comparison Date Table (based on $2000 per event in Sales)</t>
  </si>
  <si>
    <t>TOTAL FIXED COSTS PER EVENT</t>
  </si>
  <si>
    <t>Misc (permits, fees, etc)</t>
  </si>
  <si>
    <t>Insurance</t>
  </si>
  <si>
    <t>Electricity</t>
  </si>
  <si>
    <t>Wages</t>
  </si>
  <si>
    <t>** Fixed Costs per 2-day Event</t>
  </si>
  <si>
    <t>Syrup Cost per Ounce (128 oz / gal)</t>
  </si>
  <si>
    <t>per Gallon</t>
  </si>
  <si>
    <t>per pound</t>
  </si>
  <si>
    <t>for Sugar -5 lbs</t>
  </si>
  <si>
    <t>for Preservative (1 scoop at $35.90)</t>
  </si>
  <si>
    <t xml:space="preserve">for Concentrate (4 ounces at $48.71/gal) </t>
  </si>
  <si>
    <t>* Syrup costs per gallon is calculated as follows:</t>
  </si>
  <si>
    <t>Net Profit for 15 Events</t>
  </si>
  <si>
    <t>Net Profit for 10 Events</t>
  </si>
  <si>
    <t>Net Profit for 5 Events</t>
  </si>
  <si>
    <t xml:space="preserve">Event Sales </t>
  </si>
  <si>
    <t>Large Variable %</t>
  </si>
  <si>
    <t>Net Profit % per Event (2 days)</t>
  </si>
  <si>
    <t>Medium Variable %</t>
  </si>
  <si>
    <t>Net Profit per Event (2 days)</t>
  </si>
  <si>
    <t>Small Variable %</t>
  </si>
  <si>
    <t xml:space="preserve">Less Fixed Cost** </t>
  </si>
  <si>
    <t>Large - Pricing</t>
  </si>
  <si>
    <t>Gross Profit per Day</t>
  </si>
  <si>
    <t xml:space="preserve">tax is difference between taxable sales and sales </t>
  </si>
  <si>
    <t>Medium - Pricing</t>
  </si>
  <si>
    <t>Sales Tax (if applicable)</t>
  </si>
  <si>
    <t>**Total Sales divided by 1 + tax rate = taxable sales</t>
  </si>
  <si>
    <t>Small - Pricing</t>
  </si>
  <si>
    <t xml:space="preserve">Less Variable Event Fees </t>
  </si>
  <si>
    <t>Applicable sales tax where required</t>
  </si>
  <si>
    <t xml:space="preserve">formula*** </t>
  </si>
  <si>
    <t>Sales Tax</t>
  </si>
  <si>
    <t>Less Variable Unit Costs</t>
  </si>
  <si>
    <t>permits, etc divided by annual # days open</t>
  </si>
  <si>
    <t>divide</t>
  </si>
  <si>
    <t>Misc</t>
  </si>
  <si>
    <t>16 oz Variable Cost %</t>
  </si>
  <si>
    <t>annual fee divided by annual # days open</t>
  </si>
  <si>
    <t>Sales per Event (2 days)</t>
  </si>
  <si>
    <t>monthly fee divided by avg 30 days</t>
  </si>
  <si>
    <t>Operating Ratios</t>
  </si>
  <si>
    <t>fee for entrance into event</t>
  </si>
  <si>
    <t>Event Fee</t>
  </si>
  <si>
    <t>Gross Income per Unit</t>
  </si>
  <si>
    <t># of Workers</t>
  </si>
  <si>
    <t>Ounces of Syrup Unit</t>
  </si>
  <si>
    <t>hours open</t>
  </si>
  <si>
    <t>Hours</t>
  </si>
  <si>
    <t>Servings Per Gallon of Syrup</t>
  </si>
  <si>
    <t>rate per hour</t>
  </si>
  <si>
    <t>Gross Profit Margin</t>
  </si>
  <si>
    <t xml:space="preserve">25 lbs bag (5 gal) </t>
  </si>
  <si>
    <t>Sugar</t>
  </si>
  <si>
    <t>Variable Cost % of Minimum Price</t>
  </si>
  <si>
    <t>per gallon ($35.90/30scoops)/5</t>
  </si>
  <si>
    <t>Preservative</t>
  </si>
  <si>
    <t>Price per Unit</t>
  </si>
  <si>
    <t>Gallon Pricing reduces to $1.52 per gallon</t>
  </si>
  <si>
    <t>Concentrates</t>
  </si>
  <si>
    <t>Lg 21 oz</t>
  </si>
  <si>
    <t>Med 16 oz</t>
  </si>
  <si>
    <t>Sm 9 oz</t>
  </si>
  <si>
    <t>Napkins</t>
  </si>
  <si>
    <t>Lg Cups</t>
  </si>
  <si>
    <t>TOTAL VARIABLE COST PER UNIT</t>
  </si>
  <si>
    <t>Med Cups</t>
  </si>
  <si>
    <t>Small Cups</t>
  </si>
  <si>
    <t>Syrup*</t>
  </si>
  <si>
    <t>200 straws per box</t>
  </si>
  <si>
    <t>Spoonstraws</t>
  </si>
  <si>
    <t>Brand-Printed Paper Cup</t>
  </si>
  <si>
    <t>Price based on a 22 lbs bag of ice</t>
  </si>
  <si>
    <t>Ice</t>
  </si>
  <si>
    <t>Spoon Straws</t>
  </si>
  <si>
    <t>Details</t>
  </si>
  <si>
    <t>Rate</t>
  </si>
  <si>
    <t>Factor</t>
  </si>
  <si>
    <t>Claculation</t>
  </si>
  <si>
    <t>Price</t>
  </si>
  <si>
    <t>Pricing Factors</t>
  </si>
  <si>
    <t xml:space="preserve">Ice </t>
  </si>
  <si>
    <t>Med. 16 oz</t>
  </si>
  <si>
    <t>Variable Costs</t>
  </si>
  <si>
    <r>
      <t xml:space="preserve">Mobile Kiosks </t>
    </r>
    <r>
      <rPr>
        <b/>
        <u/>
        <sz val="10"/>
        <rFont val="Arial"/>
        <family val="2"/>
      </rPr>
      <t>(Profit Margins - Operating Ratios)</t>
    </r>
  </si>
  <si>
    <t>Revenue Summary</t>
  </si>
  <si>
    <t>Make Changes Here</t>
  </si>
  <si>
    <t>($89. for branded paper cups - 100/box)</t>
  </si>
  <si>
    <t>($98. branded paper 1000/box)</t>
  </si>
  <si>
    <t>($119 branded paper 100/box)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</si>
</sst>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&quot;$&quot;#,##0.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20"/>
      <color indexed="56"/>
      <name val="Trebuchet MS"/>
      <family val="2"/>
    </font>
    <font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8" fontId="1" fillId="0" borderId="1" xfId="0" applyNumberFormat="1" applyFont="1" applyBorder="1" applyAlignment="1">
      <alignment horizontal="center"/>
    </xf>
    <xf numFmtId="8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8" fontId="1" fillId="0" borderId="4" xfId="0" applyNumberFormat="1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8" fontId="1" fillId="0" borderId="0" xfId="0" applyNumberFormat="1" applyFont="1"/>
    <xf numFmtId="8" fontId="1" fillId="0" borderId="10" xfId="0" applyNumberFormat="1" applyFont="1" applyBorder="1"/>
    <xf numFmtId="164" fontId="1" fillId="0" borderId="11" xfId="0" applyNumberFormat="1" applyFont="1" applyBorder="1" applyAlignment="1">
      <alignment horizontal="right"/>
    </xf>
    <xf numFmtId="8" fontId="1" fillId="0" borderId="12" xfId="0" applyNumberFormat="1" applyFont="1" applyBorder="1"/>
    <xf numFmtId="44" fontId="1" fillId="0" borderId="0" xfId="0" applyNumberFormat="1" applyFont="1"/>
    <xf numFmtId="8" fontId="3" fillId="0" borderId="0" xfId="0" applyNumberFormat="1" applyFont="1"/>
    <xf numFmtId="0" fontId="3" fillId="0" borderId="0" xfId="0" applyFont="1"/>
    <xf numFmtId="8" fontId="1" fillId="0" borderId="13" xfId="0" applyNumberFormat="1" applyFont="1" applyBorder="1" applyAlignment="1">
      <alignment horizontal="center"/>
    </xf>
    <xf numFmtId="0" fontId="1" fillId="0" borderId="14" xfId="0" applyFont="1" applyBorder="1"/>
    <xf numFmtId="8" fontId="1" fillId="0" borderId="15" xfId="0" applyNumberFormat="1" applyFont="1" applyBorder="1" applyAlignment="1">
      <alignment horizontal="center"/>
    </xf>
    <xf numFmtId="10" fontId="1" fillId="0" borderId="15" xfId="0" applyNumberFormat="1" applyFont="1" applyBorder="1" applyAlignment="1">
      <alignment horizontal="center"/>
    </xf>
    <xf numFmtId="10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8" fontId="1" fillId="0" borderId="16" xfId="0" applyNumberFormat="1" applyFont="1" applyBorder="1" applyAlignment="1">
      <alignment horizontal="center"/>
    </xf>
    <xf numFmtId="8" fontId="1" fillId="0" borderId="17" xfId="0" applyNumberFormat="1" applyFont="1" applyBorder="1" applyAlignment="1">
      <alignment horizontal="center"/>
    </xf>
    <xf numFmtId="0" fontId="1" fillId="0" borderId="18" xfId="0" applyFont="1" applyBorder="1"/>
    <xf numFmtId="9" fontId="1" fillId="0" borderId="0" xfId="0" applyNumberFormat="1" applyFont="1"/>
    <xf numFmtId="44" fontId="1" fillId="2" borderId="5" xfId="1" applyFont="1" applyFill="1" applyBorder="1" applyAlignment="1" applyProtection="1">
      <protection locked="0"/>
    </xf>
    <xf numFmtId="9" fontId="1" fillId="0" borderId="0" xfId="2" applyFont="1"/>
    <xf numFmtId="9" fontId="1" fillId="2" borderId="5" xfId="2" applyFont="1" applyFill="1" applyBorder="1" applyAlignment="1" applyProtection="1">
      <alignment horizontal="center"/>
      <protection locked="0"/>
    </xf>
    <xf numFmtId="44" fontId="1" fillId="2" borderId="5" xfId="1" applyFont="1" applyFill="1" applyBorder="1" applyAlignment="1" applyProtection="1">
      <alignment horizontal="center"/>
      <protection locked="0"/>
    </xf>
    <xf numFmtId="10" fontId="1" fillId="0" borderId="0" xfId="0" applyNumberFormat="1" applyFont="1" applyAlignment="1">
      <alignment horizontal="center"/>
    </xf>
    <xf numFmtId="8" fontId="1" fillId="0" borderId="19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4" xfId="0" applyFont="1" applyBorder="1"/>
    <xf numFmtId="10" fontId="1" fillId="2" borderId="5" xfId="1" applyNumberFormat="1" applyFont="1" applyFill="1" applyBorder="1" applyAlignment="1" applyProtection="1">
      <alignment horizontal="center"/>
      <protection locked="0"/>
    </xf>
    <xf numFmtId="8" fontId="1" fillId="0" borderId="14" xfId="0" applyNumberFormat="1" applyFont="1" applyBorder="1" applyAlignment="1">
      <alignment horizontal="center"/>
    </xf>
    <xf numFmtId="0" fontId="5" fillId="2" borderId="5" xfId="1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2" borderId="5" xfId="1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64" fontId="1" fillId="0" borderId="0" xfId="0" applyNumberFormat="1" applyFont="1"/>
    <xf numFmtId="10" fontId="1" fillId="0" borderId="0" xfId="2" applyNumberFormat="1" applyFont="1" applyAlignment="1">
      <alignment horizontal="center"/>
    </xf>
    <xf numFmtId="10" fontId="1" fillId="0" borderId="15" xfId="2" applyNumberFormat="1" applyFont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165" fontId="1" fillId="0" borderId="15" xfId="1" applyNumberFormat="1" applyFont="1" applyBorder="1" applyAlignment="1">
      <alignment horizontal="center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0" xfId="0" applyFont="1" applyBorder="1"/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22" xfId="0" applyFont="1" applyBorder="1"/>
    <xf numFmtId="164" fontId="1" fillId="0" borderId="0" xfId="0" applyNumberFormat="1" applyFont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44" fontId="7" fillId="2" borderId="0" xfId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8" fontId="1" fillId="2" borderId="0" xfId="0" applyNumberFormat="1" applyFont="1" applyFill="1" applyProtection="1">
      <protection locked="0"/>
    </xf>
    <xf numFmtId="8" fontId="1" fillId="3" borderId="19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C65E-B850-414E-98FD-E6419835CC1D}">
  <dimension ref="A1:S55"/>
  <sheetViews>
    <sheetView showGridLines="0" tabSelected="1" topLeftCell="E3" zoomScale="125" zoomScaleNormal="224" zoomScaleSheetLayoutView="100" workbookViewId="0">
      <selection activeCell="R12" sqref="R12"/>
    </sheetView>
  </sheetViews>
  <sheetFormatPr baseColWidth="10" defaultColWidth="9.1640625" defaultRowHeight="13" x14ac:dyDescent="0.15"/>
  <cols>
    <col min="1" max="1" width="2.6640625" style="1" customWidth="1"/>
    <col min="2" max="2" width="2.5" style="1" customWidth="1"/>
    <col min="3" max="3" width="10" style="1" customWidth="1"/>
    <col min="4" max="4" width="13.5" style="1" customWidth="1"/>
    <col min="5" max="5" width="7.5" style="1" customWidth="1"/>
    <col min="6" max="6" width="12.6640625" style="1" customWidth="1"/>
    <col min="7" max="11" width="12.6640625" style="2" customWidth="1"/>
    <col min="12" max="12" width="9.1640625" style="2"/>
    <col min="13" max="13" width="13.83203125" style="2" bestFit="1" customWidth="1"/>
    <col min="14" max="14" width="10.83203125" style="1" customWidth="1"/>
    <col min="15" max="15" width="10.33203125" style="1" customWidth="1"/>
    <col min="16" max="16" width="6.5" style="1" bestFit="1" customWidth="1"/>
    <col min="17" max="17" width="7.83203125" style="1" customWidth="1"/>
    <col min="18" max="16384" width="9.1640625" style="1"/>
  </cols>
  <sheetData>
    <row r="1" spans="1:19" ht="25" x14ac:dyDescent="0.25">
      <c r="A1" s="66" t="s">
        <v>94</v>
      </c>
    </row>
    <row r="2" spans="1:19" ht="16" x14ac:dyDescent="0.2">
      <c r="A2" s="65" t="s">
        <v>93</v>
      </c>
      <c r="B2" s="64"/>
      <c r="C2" s="64"/>
      <c r="D2" s="64"/>
      <c r="E2" s="64"/>
      <c r="F2" s="64"/>
      <c r="M2" s="67"/>
      <c r="N2" s="68"/>
      <c r="O2" s="68"/>
    </row>
    <row r="3" spans="1:19" ht="22.5" customHeight="1" thickBot="1" x14ac:dyDescent="0.2">
      <c r="B3" s="38" t="s">
        <v>92</v>
      </c>
      <c r="C3" s="22"/>
      <c r="D3" s="22"/>
      <c r="E3" s="22"/>
      <c r="F3" s="22"/>
      <c r="G3" s="37"/>
      <c r="H3" s="37"/>
      <c r="I3" s="37"/>
      <c r="M3" s="72"/>
      <c r="N3" s="73" t="s">
        <v>95</v>
      </c>
      <c r="O3" s="72"/>
    </row>
    <row r="4" spans="1:19" ht="16.5" customHeight="1" x14ac:dyDescent="0.2">
      <c r="C4" s="53"/>
      <c r="D4" s="53"/>
      <c r="E4" s="53"/>
      <c r="F4" s="53"/>
      <c r="G4" s="51" t="s">
        <v>71</v>
      </c>
      <c r="H4" s="51" t="s">
        <v>91</v>
      </c>
      <c r="I4" s="51" t="s">
        <v>69</v>
      </c>
      <c r="M4" s="70"/>
      <c r="N4" s="69"/>
      <c r="O4" s="70"/>
      <c r="R4" s="26"/>
    </row>
    <row r="5" spans="1:19" x14ac:dyDescent="0.15">
      <c r="C5" s="1" t="s">
        <v>90</v>
      </c>
      <c r="G5" s="63">
        <f>SUM(Q6)</f>
        <v>0.08</v>
      </c>
      <c r="H5" s="60">
        <f>SUM(G5*2)</f>
        <v>0.16</v>
      </c>
      <c r="I5" s="60">
        <f>SUM(H5*1.5)</f>
        <v>0.24</v>
      </c>
      <c r="M5" s="26" t="s">
        <v>89</v>
      </c>
      <c r="N5" s="62" t="s">
        <v>88</v>
      </c>
      <c r="O5" s="2" t="s">
        <v>87</v>
      </c>
      <c r="P5" s="1" t="s">
        <v>86</v>
      </c>
      <c r="Q5" s="2" t="s">
        <v>85</v>
      </c>
      <c r="R5" s="26" t="s">
        <v>84</v>
      </c>
    </row>
    <row r="6" spans="1:19" x14ac:dyDescent="0.15">
      <c r="C6" s="1" t="s">
        <v>83</v>
      </c>
      <c r="G6" s="61">
        <f>SUM(Q7)</f>
        <v>2.4500000000000001E-2</v>
      </c>
      <c r="H6" s="60">
        <f>SUM(G6)</f>
        <v>2.4500000000000001E-2</v>
      </c>
      <c r="I6" s="60">
        <f>SUM(G6)</f>
        <v>2.4500000000000001E-2</v>
      </c>
      <c r="M6" s="26" t="s">
        <v>82</v>
      </c>
      <c r="N6" s="34">
        <v>4</v>
      </c>
      <c r="O6" s="3" t="s">
        <v>44</v>
      </c>
      <c r="P6" s="1">
        <v>50</v>
      </c>
      <c r="Q6" s="14">
        <f t="shared" ref="Q6:Q14" si="0">SUM(N6/P6)</f>
        <v>0.08</v>
      </c>
      <c r="R6" s="26" t="s">
        <v>81</v>
      </c>
    </row>
    <row r="7" spans="1:19" x14ac:dyDescent="0.15">
      <c r="C7" s="1" t="s">
        <v>80</v>
      </c>
      <c r="G7" s="61">
        <f>SUM(Q8)</f>
        <v>8.8999999999999996E-2</v>
      </c>
      <c r="H7" s="60">
        <f>SUM(Q9)</f>
        <v>8.8999999999999996E-2</v>
      </c>
      <c r="I7" s="60">
        <f>SUM(Q10)</f>
        <v>9.8000000000000004E-2</v>
      </c>
      <c r="M7" s="26" t="s">
        <v>79</v>
      </c>
      <c r="N7" s="34">
        <v>4.9000000000000004</v>
      </c>
      <c r="O7" s="2" t="s">
        <v>44</v>
      </c>
      <c r="P7" s="1">
        <v>200</v>
      </c>
      <c r="Q7" s="46">
        <f t="shared" si="0"/>
        <v>2.4500000000000001E-2</v>
      </c>
      <c r="R7" s="26" t="s">
        <v>78</v>
      </c>
    </row>
    <row r="8" spans="1:19" x14ac:dyDescent="0.15">
      <c r="C8" s="1" t="s">
        <v>77</v>
      </c>
      <c r="G8" s="61">
        <f>SUM(G17*C39)</f>
        <v>9.1581380208333341E-2</v>
      </c>
      <c r="H8" s="60">
        <f>SUM(H17*C39)</f>
        <v>0.16026741536458333</v>
      </c>
      <c r="I8" s="60">
        <f>SUM(I17*C39)</f>
        <v>0.22895345052083335</v>
      </c>
      <c r="M8" s="26" t="s">
        <v>76</v>
      </c>
      <c r="N8" s="34">
        <v>89</v>
      </c>
      <c r="O8" s="2" t="s">
        <v>44</v>
      </c>
      <c r="P8" s="1">
        <v>1000</v>
      </c>
      <c r="Q8" s="46">
        <f>SUM(N8/P8)</f>
        <v>8.8999999999999996E-2</v>
      </c>
      <c r="R8" s="26"/>
      <c r="S8" s="1" t="s">
        <v>96</v>
      </c>
    </row>
    <row r="9" spans="1:19" x14ac:dyDescent="0.15">
      <c r="C9" s="29" t="s">
        <v>72</v>
      </c>
      <c r="D9" s="29"/>
      <c r="E9" s="29"/>
      <c r="F9" s="59"/>
      <c r="G9" s="58">
        <f>SUM(Q11)</f>
        <v>1.6658333333333331E-2</v>
      </c>
      <c r="H9" s="57">
        <f>SUM(G9)</f>
        <v>1.6658333333333331E-2</v>
      </c>
      <c r="I9" s="57">
        <f>SUM(G9)</f>
        <v>1.6658333333333331E-2</v>
      </c>
      <c r="M9" s="26" t="s">
        <v>75</v>
      </c>
      <c r="N9" s="34">
        <v>89</v>
      </c>
      <c r="O9" s="2" t="s">
        <v>44</v>
      </c>
      <c r="P9" s="1">
        <v>1000</v>
      </c>
      <c r="Q9" s="46">
        <f t="shared" si="0"/>
        <v>8.8999999999999996E-2</v>
      </c>
      <c r="R9" s="26"/>
      <c r="S9" s="1" t="s">
        <v>97</v>
      </c>
    </row>
    <row r="10" spans="1:19" ht="14" thickBot="1" x14ac:dyDescent="0.2">
      <c r="C10" s="22" t="s">
        <v>74</v>
      </c>
      <c r="D10" s="22"/>
      <c r="E10" s="22"/>
      <c r="F10" s="22"/>
      <c r="G10" s="56">
        <f>SUM(G5:G9)</f>
        <v>0.30173971354166668</v>
      </c>
      <c r="H10" s="55">
        <f>SUM(H5:H9)</f>
        <v>0.45042574869791663</v>
      </c>
      <c r="I10" s="55">
        <f>SUM(I5:I9)</f>
        <v>0.60811178385416675</v>
      </c>
      <c r="M10" s="26" t="s">
        <v>73</v>
      </c>
      <c r="N10" s="34">
        <v>98</v>
      </c>
      <c r="O10" s="2" t="s">
        <v>44</v>
      </c>
      <c r="P10" s="1">
        <v>1000</v>
      </c>
      <c r="Q10" s="46">
        <f t="shared" si="0"/>
        <v>9.8000000000000004E-2</v>
      </c>
      <c r="R10" s="26"/>
      <c r="S10" s="1" t="s">
        <v>98</v>
      </c>
    </row>
    <row r="11" spans="1:19" ht="12.75" customHeight="1" thickBot="1" x14ac:dyDescent="0.2">
      <c r="C11" s="22"/>
      <c r="D11" s="22"/>
      <c r="E11" s="22"/>
      <c r="F11" s="22"/>
      <c r="G11" s="54"/>
      <c r="H11" s="37"/>
      <c r="I11" s="37"/>
      <c r="M11" s="26" t="s">
        <v>72</v>
      </c>
      <c r="N11" s="34">
        <v>19.989999999999998</v>
      </c>
      <c r="O11" s="2" t="s">
        <v>44</v>
      </c>
      <c r="P11" s="1">
        <v>1200</v>
      </c>
      <c r="Q11" s="46">
        <f t="shared" si="0"/>
        <v>1.6658333333333331E-2</v>
      </c>
      <c r="R11" s="26"/>
    </row>
    <row r="12" spans="1:19" ht="12.75" customHeight="1" x14ac:dyDescent="0.15">
      <c r="C12" s="53"/>
      <c r="D12" s="53"/>
      <c r="E12" s="53"/>
      <c r="F12" s="53"/>
      <c r="G12" s="52" t="s">
        <v>71</v>
      </c>
      <c r="H12" s="51" t="s">
        <v>70</v>
      </c>
      <c r="I12" s="51" t="s">
        <v>69</v>
      </c>
      <c r="M12" s="26" t="s">
        <v>68</v>
      </c>
      <c r="N12" s="34">
        <v>51.9</v>
      </c>
      <c r="O12" s="2" t="s">
        <v>44</v>
      </c>
      <c r="P12" s="1">
        <v>32</v>
      </c>
      <c r="Q12" s="46">
        <f t="shared" si="0"/>
        <v>1.621875</v>
      </c>
      <c r="R12" s="26" t="s">
        <v>67</v>
      </c>
    </row>
    <row r="13" spans="1:19" x14ac:dyDescent="0.15">
      <c r="C13" s="1" t="s">
        <v>66</v>
      </c>
      <c r="G13" s="50">
        <f>N23</f>
        <v>4</v>
      </c>
      <c r="H13" s="49">
        <f>N24</f>
        <v>5</v>
      </c>
      <c r="I13" s="49">
        <f>N25</f>
        <v>6</v>
      </c>
      <c r="M13" s="26" t="s">
        <v>65</v>
      </c>
      <c r="N13" s="34">
        <v>35.9</v>
      </c>
      <c r="O13" s="71" t="s">
        <v>44</v>
      </c>
      <c r="P13" s="1">
        <v>150</v>
      </c>
      <c r="Q13" s="46">
        <f t="shared" si="0"/>
        <v>0.23933333333333331</v>
      </c>
      <c r="R13" s="26" t="s">
        <v>64</v>
      </c>
    </row>
    <row r="14" spans="1:19" x14ac:dyDescent="0.15">
      <c r="C14" s="1" t="s">
        <v>63</v>
      </c>
      <c r="G14" s="48">
        <f>SUM(G10/G13)</f>
        <v>7.5434928385416669E-2</v>
      </c>
      <c r="H14" s="47">
        <f>SUM(H10/H13)</f>
        <v>9.0085149739583328E-2</v>
      </c>
      <c r="I14" s="47">
        <f>SUM(I10/I13)</f>
        <v>0.10135196397569446</v>
      </c>
      <c r="M14" s="26" t="s">
        <v>62</v>
      </c>
      <c r="N14" s="34">
        <v>20</v>
      </c>
      <c r="O14" s="2" t="s">
        <v>44</v>
      </c>
      <c r="P14" s="1">
        <v>5</v>
      </c>
      <c r="Q14" s="46">
        <f t="shared" si="0"/>
        <v>4</v>
      </c>
      <c r="R14" s="26" t="s">
        <v>61</v>
      </c>
    </row>
    <row r="15" spans="1:19" x14ac:dyDescent="0.15">
      <c r="C15" s="1" t="s">
        <v>60</v>
      </c>
      <c r="G15" s="24">
        <f>SUM(100%-G14)</f>
        <v>0.92456507161458334</v>
      </c>
      <c r="H15" s="35">
        <f>SUM(100%-H14)</f>
        <v>0.90991485026041663</v>
      </c>
      <c r="I15" s="35">
        <f>SUM(100%-I14)</f>
        <v>0.89864803602430554</v>
      </c>
      <c r="M15" s="26" t="s">
        <v>12</v>
      </c>
      <c r="N15" s="34">
        <v>10</v>
      </c>
      <c r="O15" s="2"/>
      <c r="Q15" s="14">
        <f>SUM(N15)</f>
        <v>10</v>
      </c>
      <c r="R15" s="26" t="s">
        <v>59</v>
      </c>
    </row>
    <row r="16" spans="1:19" x14ac:dyDescent="0.15">
      <c r="C16" s="1" t="s">
        <v>58</v>
      </c>
      <c r="G16" s="45">
        <f>SUM(128/G17)</f>
        <v>64</v>
      </c>
      <c r="H16" s="45">
        <f>SUM(128/H17)</f>
        <v>36.571428571428569</v>
      </c>
      <c r="I16" s="44">
        <f>SUM(128/I17)</f>
        <v>25.6</v>
      </c>
      <c r="M16" s="26" t="s">
        <v>57</v>
      </c>
      <c r="N16" s="43">
        <v>10</v>
      </c>
      <c r="O16" s="2"/>
      <c r="Q16" s="18">
        <f>SUM(N16:P16)</f>
        <v>10</v>
      </c>
      <c r="R16" s="26" t="s">
        <v>56</v>
      </c>
    </row>
    <row r="17" spans="2:18" x14ac:dyDescent="0.15">
      <c r="C17" s="1" t="s">
        <v>55</v>
      </c>
      <c r="G17" s="42">
        <v>2</v>
      </c>
      <c r="H17" s="2">
        <v>3.5</v>
      </c>
      <c r="I17" s="2">
        <v>5</v>
      </c>
      <c r="M17" s="26" t="s">
        <v>54</v>
      </c>
      <c r="N17" s="41">
        <v>1</v>
      </c>
      <c r="O17" s="2"/>
      <c r="Q17">
        <v>2</v>
      </c>
      <c r="R17" s="26"/>
    </row>
    <row r="18" spans="2:18" ht="14" thickBot="1" x14ac:dyDescent="0.2">
      <c r="C18" s="22" t="s">
        <v>53</v>
      </c>
      <c r="D18" s="22"/>
      <c r="E18" s="22"/>
      <c r="F18" s="22"/>
      <c r="G18" s="21">
        <f>SUM(G13*G15)</f>
        <v>3.6982602864583334</v>
      </c>
      <c r="H18" s="40">
        <f>SUM(H13*H15)</f>
        <v>4.5495742513020829</v>
      </c>
      <c r="I18" s="40">
        <f>SUM(I13*I15)</f>
        <v>5.3918882161458335</v>
      </c>
      <c r="M18" s="26" t="s">
        <v>52</v>
      </c>
      <c r="N18" s="39">
        <v>0.1</v>
      </c>
      <c r="O18" s="2"/>
      <c r="Q18" s="30">
        <f>N18</f>
        <v>0.1</v>
      </c>
      <c r="R18" s="26" t="s">
        <v>51</v>
      </c>
    </row>
    <row r="19" spans="2:18" ht="18.75" customHeight="1" thickBot="1" x14ac:dyDescent="0.2">
      <c r="B19" s="38" t="s">
        <v>50</v>
      </c>
      <c r="C19" s="22"/>
      <c r="D19" s="22"/>
      <c r="E19" s="22"/>
      <c r="F19" s="22"/>
      <c r="G19" s="37"/>
      <c r="H19" s="37"/>
      <c r="I19" s="37"/>
      <c r="M19" s="26" t="s">
        <v>11</v>
      </c>
      <c r="N19" s="34">
        <v>0</v>
      </c>
      <c r="O19" s="2" t="s">
        <v>44</v>
      </c>
      <c r="P19" s="1">
        <v>30</v>
      </c>
      <c r="Q19" s="14">
        <f>SUM(N19/P19)</f>
        <v>0</v>
      </c>
      <c r="R19" s="26" t="s">
        <v>49</v>
      </c>
    </row>
    <row r="20" spans="2:18" x14ac:dyDescent="0.15">
      <c r="C20" s="1" t="s">
        <v>48</v>
      </c>
      <c r="F20" s="36">
        <v>1000</v>
      </c>
      <c r="G20" s="36">
        <v>1500</v>
      </c>
      <c r="H20" s="36">
        <v>2000</v>
      </c>
      <c r="I20" s="36">
        <v>2500</v>
      </c>
      <c r="J20" s="75">
        <f>N29</f>
        <v>5000</v>
      </c>
      <c r="K20" s="3"/>
      <c r="M20" s="26" t="s">
        <v>10</v>
      </c>
      <c r="N20" s="34">
        <v>500</v>
      </c>
      <c r="O20" s="2" t="s">
        <v>44</v>
      </c>
      <c r="P20" s="1">
        <v>180</v>
      </c>
      <c r="Q20" s="14">
        <f>SUM(N20/P20)</f>
        <v>2.7777777777777777</v>
      </c>
      <c r="R20" s="26" t="s">
        <v>47</v>
      </c>
    </row>
    <row r="21" spans="2:18" x14ac:dyDescent="0.15">
      <c r="C21" s="1" t="s">
        <v>46</v>
      </c>
      <c r="F21" s="24">
        <f>SUM(H14)</f>
        <v>9.0085149739583328E-2</v>
      </c>
      <c r="G21" s="24">
        <f>SUM(H14)</f>
        <v>9.0085149739583328E-2</v>
      </c>
      <c r="H21" s="24">
        <f>SUM(H14)</f>
        <v>9.0085149739583328E-2</v>
      </c>
      <c r="I21" s="24">
        <f>SUM(H14)</f>
        <v>9.0085149739583328E-2</v>
      </c>
      <c r="J21" s="24">
        <f>SUM(H14)</f>
        <v>9.0085149739583328E-2</v>
      </c>
      <c r="K21" s="35"/>
      <c r="M21" s="26" t="s">
        <v>45</v>
      </c>
      <c r="N21" s="34">
        <v>270</v>
      </c>
      <c r="O21" s="2" t="s">
        <v>44</v>
      </c>
      <c r="P21" s="1">
        <v>180</v>
      </c>
      <c r="Q21" s="14">
        <f>SUM(N21/P21)</f>
        <v>1.5</v>
      </c>
      <c r="R21" s="26" t="s">
        <v>43</v>
      </c>
    </row>
    <row r="22" spans="2:18" x14ac:dyDescent="0.15">
      <c r="C22" s="1" t="s">
        <v>42</v>
      </c>
      <c r="F22" s="23">
        <f>SUM(F20*F21)</f>
        <v>90.085149739583329</v>
      </c>
      <c r="G22" s="23">
        <f>SUM(G20*G21)</f>
        <v>135.12772460937498</v>
      </c>
      <c r="H22" s="23">
        <f>SUM(H20*H21)</f>
        <v>180.17029947916666</v>
      </c>
      <c r="I22" s="23">
        <f>SUM(I20*I21)</f>
        <v>225.21287434895831</v>
      </c>
      <c r="J22" s="23">
        <f>SUM(J20*J21)</f>
        <v>450.42574869791662</v>
      </c>
      <c r="K22" s="3"/>
      <c r="M22" s="26" t="s">
        <v>41</v>
      </c>
      <c r="N22" s="33">
        <v>0</v>
      </c>
      <c r="O22" s="2" t="s">
        <v>40</v>
      </c>
      <c r="P22" s="30">
        <f>SUM(1+N22)</f>
        <v>1</v>
      </c>
      <c r="Q22" s="32">
        <v>0</v>
      </c>
      <c r="R22" s="26" t="s">
        <v>39</v>
      </c>
    </row>
    <row r="23" spans="2:18" x14ac:dyDescent="0.15">
      <c r="C23" s="1" t="s">
        <v>38</v>
      </c>
      <c r="E23" s="30">
        <f>SUM(N18)</f>
        <v>0.1</v>
      </c>
      <c r="F23" s="23">
        <f>SUM(F20*$E$23)</f>
        <v>100</v>
      </c>
      <c r="G23" s="23">
        <f>SUM(G20*$E$23)</f>
        <v>150</v>
      </c>
      <c r="H23" s="23">
        <f>SUM(H20*$E$23)</f>
        <v>200</v>
      </c>
      <c r="I23" s="23">
        <f>SUM(I20*$E$23)</f>
        <v>250</v>
      </c>
      <c r="J23" s="23">
        <f>SUM(J20*$E$23)</f>
        <v>500</v>
      </c>
      <c r="K23" s="3"/>
      <c r="M23" s="26" t="s">
        <v>37</v>
      </c>
      <c r="N23" s="31">
        <v>4</v>
      </c>
      <c r="O23" s="2"/>
      <c r="R23" s="26" t="s">
        <v>36</v>
      </c>
    </row>
    <row r="24" spans="2:18" x14ac:dyDescent="0.15">
      <c r="C24" s="1" t="s">
        <v>35</v>
      </c>
      <c r="E24" s="30">
        <f>SUM(N22)</f>
        <v>0</v>
      </c>
      <c r="F24" s="28">
        <f>SUM(-F20/$P$22)+F20</f>
        <v>0</v>
      </c>
      <c r="G24" s="28">
        <f>SUM(-G20/$P$22)+G20</f>
        <v>0</v>
      </c>
      <c r="H24" s="28">
        <f>SUM(-H20/$P$22)+H20</f>
        <v>0</v>
      </c>
      <c r="I24" s="28">
        <f>SUM(-I20/$P$22)+I20</f>
        <v>0</v>
      </c>
      <c r="J24" s="28">
        <f>SUM(-J20/$P$22)+J20</f>
        <v>0</v>
      </c>
      <c r="K24" s="3"/>
      <c r="M24" s="26" t="s">
        <v>34</v>
      </c>
      <c r="N24" s="31">
        <v>5</v>
      </c>
      <c r="O24" s="2"/>
      <c r="R24" s="26" t="s">
        <v>33</v>
      </c>
    </row>
    <row r="25" spans="2:18" x14ac:dyDescent="0.15">
      <c r="C25" s="1" t="s">
        <v>32</v>
      </c>
      <c r="F25" s="23">
        <f>SUM((F20-(F22+F23+F24)))</f>
        <v>809.91485026041664</v>
      </c>
      <c r="G25" s="23">
        <f>SUM((G20-(G22+G23+G24)))</f>
        <v>1214.872275390625</v>
      </c>
      <c r="H25" s="23">
        <f>SUM((H20-(H22+H23+H24)))</f>
        <v>1619.8297005208333</v>
      </c>
      <c r="I25" s="23">
        <f>SUM((I20-(I22+I23+I24)))</f>
        <v>2024.7871256510416</v>
      </c>
      <c r="J25" s="23">
        <f>SUM((J20-(J22+J23+J24)))</f>
        <v>4049.5742513020832</v>
      </c>
      <c r="K25" s="3"/>
      <c r="M25" s="26" t="s">
        <v>31</v>
      </c>
      <c r="N25" s="31">
        <v>6</v>
      </c>
    </row>
    <row r="26" spans="2:18" x14ac:dyDescent="0.15">
      <c r="C26" s="29" t="s">
        <v>30</v>
      </c>
      <c r="D26" s="29"/>
      <c r="E26" s="29"/>
      <c r="F26" s="28">
        <f>SUM(C46)</f>
        <v>208.55555555555554</v>
      </c>
      <c r="G26" s="28">
        <f>SUM(C46)</f>
        <v>208.55555555555554</v>
      </c>
      <c r="H26" s="28">
        <f>SUM(C46)</f>
        <v>208.55555555555554</v>
      </c>
      <c r="I26" s="28">
        <f>SUM(C46)</f>
        <v>208.55555555555554</v>
      </c>
      <c r="J26" s="28">
        <f>SUM(C46)</f>
        <v>208.55555555555554</v>
      </c>
      <c r="K26" s="3"/>
      <c r="M26" s="26" t="s">
        <v>29</v>
      </c>
      <c r="N26" s="25">
        <f>G14</f>
        <v>7.5434928385416669E-2</v>
      </c>
    </row>
    <row r="27" spans="2:18" ht="14" thickBot="1" x14ac:dyDescent="0.2">
      <c r="C27" s="1" t="s">
        <v>28</v>
      </c>
      <c r="F27" s="27">
        <f>SUM(F25-F26)</f>
        <v>601.3592947048611</v>
      </c>
      <c r="G27" s="27">
        <f>SUM(G25-G26)</f>
        <v>1006.3167198350694</v>
      </c>
      <c r="H27" s="27">
        <f>SUM(H25-H26)</f>
        <v>1411.2741449652776</v>
      </c>
      <c r="I27" s="27">
        <f>SUM(I25-I26)</f>
        <v>1816.2315700954859</v>
      </c>
      <c r="J27" s="27">
        <f>SUM(J25-J26)</f>
        <v>3841.0186957465276</v>
      </c>
      <c r="K27" s="3"/>
      <c r="M27" s="26" t="s">
        <v>27</v>
      </c>
      <c r="N27" s="25">
        <f>H14</f>
        <v>9.0085149739583328E-2</v>
      </c>
    </row>
    <row r="28" spans="2:18" ht="14" thickTop="1" x14ac:dyDescent="0.15">
      <c r="C28" s="1" t="s">
        <v>26</v>
      </c>
      <c r="F28" s="24">
        <f>SUM(F27/F20)</f>
        <v>0.60135929470486105</v>
      </c>
      <c r="G28" s="24">
        <f>SUM(G27/G20)</f>
        <v>0.67087781322337958</v>
      </c>
      <c r="H28" s="24">
        <f>SUM(H27/H20)</f>
        <v>0.70563707248263885</v>
      </c>
      <c r="I28" s="24">
        <f>SUM(I27/I20)</f>
        <v>0.72649262803819437</v>
      </c>
      <c r="J28" s="24">
        <f>SUM(J27/J20)</f>
        <v>0.76820373914930551</v>
      </c>
      <c r="K28" s="3"/>
      <c r="M28" s="26" t="s">
        <v>25</v>
      </c>
      <c r="N28" s="25">
        <f>I14</f>
        <v>0.10135196397569446</v>
      </c>
    </row>
    <row r="29" spans="2:18" x14ac:dyDescent="0.15">
      <c r="F29" s="24"/>
      <c r="G29" s="24"/>
      <c r="H29" s="24"/>
      <c r="I29" s="24"/>
      <c r="J29" s="24"/>
      <c r="K29" s="3"/>
      <c r="M29" s="2" t="s">
        <v>24</v>
      </c>
      <c r="N29" s="74">
        <v>5000</v>
      </c>
    </row>
    <row r="30" spans="2:18" x14ac:dyDescent="0.15">
      <c r="C30" s="1" t="s">
        <v>23</v>
      </c>
      <c r="F30" s="23">
        <f>SUM(F27*5)</f>
        <v>3006.7964735243054</v>
      </c>
      <c r="G30" s="23">
        <f>SUM(G27*5)</f>
        <v>5031.5835991753474</v>
      </c>
      <c r="H30" s="23">
        <f>SUM(H27*5)</f>
        <v>7056.3707248263881</v>
      </c>
      <c r="I30" s="23">
        <f>SUM(I27*5)</f>
        <v>9081.1578504774297</v>
      </c>
      <c r="J30" s="23">
        <f>SUM(J27*5)</f>
        <v>19205.093478732637</v>
      </c>
      <c r="K30" s="3"/>
    </row>
    <row r="31" spans="2:18" x14ac:dyDescent="0.15">
      <c r="C31" s="1" t="s">
        <v>22</v>
      </c>
      <c r="F31" s="23">
        <f>SUM(F30*2)</f>
        <v>6013.5929470486108</v>
      </c>
      <c r="G31" s="23">
        <f>SUM(G30*2)</f>
        <v>10063.167198350695</v>
      </c>
      <c r="H31" s="23">
        <f>SUM(H30*2)</f>
        <v>14112.741449652776</v>
      </c>
      <c r="I31" s="23">
        <f>SUM(I30*2)</f>
        <v>18162.315700954859</v>
      </c>
      <c r="J31" s="23">
        <f>SUM(J30*2)</f>
        <v>38410.186957465274</v>
      </c>
      <c r="K31" s="3"/>
    </row>
    <row r="32" spans="2:18" ht="14" thickBot="1" x14ac:dyDescent="0.2">
      <c r="C32" s="22" t="s">
        <v>21</v>
      </c>
      <c r="D32" s="22"/>
      <c r="E32" s="22"/>
      <c r="F32" s="21">
        <f>SUM(F30*3)</f>
        <v>9020.3894205729157</v>
      </c>
      <c r="G32" s="21">
        <f>SUM(G30*3)</f>
        <v>15094.750797526041</v>
      </c>
      <c r="H32" s="21">
        <f>SUM(H30*3)</f>
        <v>21169.112174479164</v>
      </c>
      <c r="I32" s="21">
        <f>SUM(I30*3)</f>
        <v>27243.473551432289</v>
      </c>
      <c r="J32" s="21">
        <f>SUM(J30*3)</f>
        <v>57615.280436197907</v>
      </c>
    </row>
    <row r="34" spans="2:7" s="2" customFormat="1" x14ac:dyDescent="0.15">
      <c r="B34" s="1" t="s">
        <v>20</v>
      </c>
      <c r="C34" s="1"/>
      <c r="D34" s="1"/>
      <c r="E34" s="1"/>
      <c r="F34" s="1"/>
    </row>
    <row r="35" spans="2:7" s="2" customFormat="1" x14ac:dyDescent="0.15">
      <c r="B35" s="1"/>
      <c r="C35" s="14">
        <f>SUM(Q12)</f>
        <v>1.621875</v>
      </c>
      <c r="D35" s="1" t="s">
        <v>19</v>
      </c>
      <c r="E35" s="1"/>
      <c r="F35" s="1"/>
    </row>
    <row r="36" spans="2:7" s="2" customFormat="1" x14ac:dyDescent="0.15">
      <c r="B36" s="1"/>
      <c r="C36" s="14">
        <f>SUM(Q13)</f>
        <v>0.23933333333333331</v>
      </c>
      <c r="D36" s="1" t="s">
        <v>18</v>
      </c>
      <c r="E36" s="1"/>
      <c r="F36" s="1"/>
    </row>
    <row r="37" spans="2:7" s="2" customFormat="1" x14ac:dyDescent="0.15">
      <c r="B37" s="20"/>
      <c r="C37" s="19">
        <f>SUM(Q14)</f>
        <v>4</v>
      </c>
      <c r="D37" s="1" t="s">
        <v>17</v>
      </c>
      <c r="E37" s="18">
        <f>SUM(N14/25)</f>
        <v>0.8</v>
      </c>
      <c r="F37" s="1" t="s">
        <v>16</v>
      </c>
    </row>
    <row r="38" spans="2:7" s="2" customFormat="1" ht="14" thickBot="1" x14ac:dyDescent="0.2">
      <c r="B38" s="1"/>
      <c r="C38" s="17">
        <f>SUM(C35:C37)</f>
        <v>5.8612083333333338</v>
      </c>
      <c r="D38" s="1" t="s">
        <v>15</v>
      </c>
      <c r="E38" s="1"/>
      <c r="F38" s="1"/>
    </row>
    <row r="39" spans="2:7" s="2" customFormat="1" ht="15" thickTop="1" thickBot="1" x14ac:dyDescent="0.2">
      <c r="B39" s="1"/>
      <c r="C39" s="16">
        <f>SUM(C38/128)</f>
        <v>4.579069010416667E-2</v>
      </c>
      <c r="D39" s="1" t="s">
        <v>14</v>
      </c>
      <c r="E39" s="1"/>
      <c r="F39" s="1"/>
    </row>
    <row r="40" spans="2:7" s="2" customFormat="1" ht="14" thickTop="1" x14ac:dyDescent="0.15">
      <c r="B40" s="1"/>
      <c r="C40" s="1"/>
      <c r="D40" s="1"/>
      <c r="E40" s="1"/>
      <c r="F40" s="1"/>
    </row>
    <row r="41" spans="2:7" s="2" customFormat="1" x14ac:dyDescent="0.15">
      <c r="B41" s="1" t="s">
        <v>13</v>
      </c>
      <c r="C41" s="1"/>
      <c r="D41" s="1"/>
      <c r="E41" s="1"/>
      <c r="F41" s="1"/>
    </row>
    <row r="42" spans="2:7" s="2" customFormat="1" x14ac:dyDescent="0.15">
      <c r="B42" s="1"/>
      <c r="C42" s="14">
        <f>SUM(N15*N16*N17)*2</f>
        <v>200</v>
      </c>
      <c r="D42" s="1" t="s">
        <v>12</v>
      </c>
      <c r="E42" s="1"/>
      <c r="F42" s="1"/>
      <c r="G42" s="3"/>
    </row>
    <row r="43" spans="2:7" s="2" customFormat="1" x14ac:dyDescent="0.15">
      <c r="B43" s="1"/>
      <c r="C43" s="14">
        <f>SUM(Q19)*2</f>
        <v>0</v>
      </c>
      <c r="D43" s="1" t="s">
        <v>11</v>
      </c>
      <c r="E43" s="1"/>
      <c r="F43" s="1"/>
      <c r="G43" s="3"/>
    </row>
    <row r="44" spans="2:7" s="2" customFormat="1" x14ac:dyDescent="0.15">
      <c r="B44" s="1"/>
      <c r="C44" s="14">
        <f>SUM(Q20)*2</f>
        <v>5.5555555555555554</v>
      </c>
      <c r="D44" s="1" t="s">
        <v>10</v>
      </c>
      <c r="E44" s="1"/>
      <c r="F44" s="1"/>
      <c r="G44" s="3"/>
    </row>
    <row r="45" spans="2:7" s="2" customFormat="1" x14ac:dyDescent="0.15">
      <c r="B45" s="1"/>
      <c r="C45" s="14">
        <f>SUM(Q21)*2</f>
        <v>3</v>
      </c>
      <c r="D45" s="1" t="s">
        <v>9</v>
      </c>
      <c r="E45" s="1"/>
      <c r="F45" s="1"/>
      <c r="G45" s="3"/>
    </row>
    <row r="46" spans="2:7" s="2" customFormat="1" ht="14" thickBot="1" x14ac:dyDescent="0.2">
      <c r="B46" s="1"/>
      <c r="C46" s="15">
        <f>SUM(C42:C45)</f>
        <v>208.55555555555554</v>
      </c>
      <c r="D46" s="1" t="s">
        <v>8</v>
      </c>
      <c r="E46" s="1"/>
      <c r="F46" s="1"/>
      <c r="G46" s="3"/>
    </row>
    <row r="47" spans="2:7" s="2" customFormat="1" ht="14" thickTop="1" x14ac:dyDescent="0.15">
      <c r="B47" s="1"/>
      <c r="C47" s="1"/>
      <c r="D47" s="1"/>
      <c r="E47" s="1"/>
      <c r="F47" s="1"/>
    </row>
    <row r="48" spans="2:7" s="2" customFormat="1" ht="14" thickBot="1" x14ac:dyDescent="0.2">
      <c r="B48" s="1"/>
      <c r="C48" s="14"/>
      <c r="D48" s="1"/>
      <c r="E48" s="1" t="s">
        <v>7</v>
      </c>
      <c r="F48" s="1"/>
    </row>
    <row r="49" spans="5:10" s="2" customFormat="1" x14ac:dyDescent="0.15">
      <c r="E49" s="13"/>
      <c r="F49" s="12" t="s">
        <v>6</v>
      </c>
      <c r="G49" s="12" t="s">
        <v>5</v>
      </c>
      <c r="H49" s="12" t="s">
        <v>4</v>
      </c>
      <c r="I49" s="11" t="s">
        <v>3</v>
      </c>
      <c r="J49" s="4"/>
    </row>
    <row r="50" spans="5:10" s="2" customFormat="1" x14ac:dyDescent="0.15">
      <c r="E50" s="10" t="s">
        <v>2</v>
      </c>
      <c r="F50" s="9">
        <f>SUM(H30)</f>
        <v>7056.3707248263881</v>
      </c>
      <c r="G50" s="9">
        <f>SUM(F50*2)</f>
        <v>14112.741449652776</v>
      </c>
      <c r="H50" s="9">
        <f>SUM(F50*3)</f>
        <v>21169.112174479164</v>
      </c>
      <c r="I50" s="8">
        <f>SUM(F50*4)</f>
        <v>28225.482899305553</v>
      </c>
      <c r="J50" s="3"/>
    </row>
    <row r="51" spans="5:10" s="2" customFormat="1" x14ac:dyDescent="0.15">
      <c r="E51" s="10" t="s">
        <v>1</v>
      </c>
      <c r="F51" s="9">
        <f>SUM(F50*2)</f>
        <v>14112.741449652776</v>
      </c>
      <c r="G51" s="9">
        <f>SUM(G50*2)</f>
        <v>28225.482899305553</v>
      </c>
      <c r="H51" s="9">
        <f>SUM(H50*2)</f>
        <v>42338.224348958327</v>
      </c>
      <c r="I51" s="8">
        <f>SUM(I50*2)</f>
        <v>56450.965798611105</v>
      </c>
      <c r="J51" s="3"/>
    </row>
    <row r="52" spans="5:10" s="2" customFormat="1" ht="14" thickBot="1" x14ac:dyDescent="0.2">
      <c r="E52" s="7" t="s">
        <v>0</v>
      </c>
      <c r="F52" s="6">
        <f>SUM(F50*3)</f>
        <v>21169.112174479164</v>
      </c>
      <c r="G52" s="6">
        <f>SUM(G50*3)</f>
        <v>42338.224348958327</v>
      </c>
      <c r="H52" s="6">
        <f>SUM(H50*3)</f>
        <v>63507.336523437494</v>
      </c>
      <c r="I52" s="5">
        <f>SUM(I50*3)</f>
        <v>84676.448697916654</v>
      </c>
      <c r="J52" s="3"/>
    </row>
    <row r="53" spans="5:10" s="2" customFormat="1" x14ac:dyDescent="0.15">
      <c r="E53" s="4"/>
      <c r="F53" s="3"/>
      <c r="G53" s="3"/>
      <c r="H53" s="3"/>
      <c r="I53" s="3"/>
      <c r="J53" s="3"/>
    </row>
    <row r="54" spans="5:10" s="2" customFormat="1" x14ac:dyDescent="0.15">
      <c r="E54" s="4"/>
      <c r="F54" s="3"/>
      <c r="G54" s="3"/>
      <c r="H54" s="3"/>
      <c r="I54" s="3"/>
      <c r="J54" s="3"/>
    </row>
    <row r="55" spans="5:10" s="2" customFormat="1" x14ac:dyDescent="0.15">
      <c r="E55" s="4"/>
      <c r="F55" s="3"/>
      <c r="G55" s="3"/>
      <c r="H55" s="3"/>
      <c r="I55" s="3"/>
      <c r="J55" s="3"/>
    </row>
  </sheetData>
  <pageMargins left="0.75" right="0.75" top="1" bottom="1" header="0.5" footer="0.5"/>
  <pageSetup scale="71" orientation="portrait" horizontalDpi="4294967293"/>
  <headerFooter alignWithMargins="0"/>
  <colBreaks count="1" manualBreakCount="1">
    <brk id="10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Mobile-Kiosks (2)</vt:lpstr>
      <vt:lpstr>'Mobile-Kiosks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Lyle Rupp</dc:creator>
  <cp:lastModifiedBy>Lyle Rupp</cp:lastModifiedBy>
  <dcterms:created xsi:type="dcterms:W3CDTF">2023-11-01T22:58:34Z</dcterms:created>
  <dcterms:modified xsi:type="dcterms:W3CDTF">2025-02-20T01:56:12Z</dcterms:modified>
</cp:coreProperties>
</file>